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20" activeTab="1"/>
  </bookViews>
  <sheets>
    <sheet name="Instructions" sheetId="1" r:id="rId1"/>
    <sheet name="DirectX" sheetId="2" r:id="rId2"/>
    <sheet name="OpenGL" sheetId="3" r:id="rId3"/>
  </sheets>
  <definedNames>
    <definedName name="Aspect_Ratio" localSheetId="1">DirectX!$E$2</definedName>
    <definedName name="Aspect_Ratio" localSheetId="2">OpenGL!$E$2</definedName>
    <definedName name="fovX" localSheetId="1">DirectX!$E$3</definedName>
    <definedName name="fovX" localSheetId="2">OpenGL!$E$3</definedName>
    <definedName name="fovY" localSheetId="1">DirectX!$E$4</definedName>
    <definedName name="fovY" localSheetId="2">OpenGL!$E$4</definedName>
    <definedName name="Invert_Y_axis" localSheetId="1">DirectX!$B$22</definedName>
    <definedName name="Invert_Y_axis" localSheetId="2">OpenGL!$B$22</definedName>
    <definedName name="Player_Pitch" localSheetId="1">DirectX!$M$2</definedName>
    <definedName name="Player_Pitch" localSheetId="2">OpenGL!$M$2</definedName>
    <definedName name="Player_Roll" localSheetId="1">DirectX!$O$2</definedName>
    <definedName name="Player_Roll" localSheetId="2">OpenGL!$O$2</definedName>
    <definedName name="Player_Yaw" localSheetId="1">DirectX!$N$2</definedName>
    <definedName name="Player_Yaw" localSheetId="2">OpenGL!$N$2</definedName>
    <definedName name="Reverse_Z_Buffer" localSheetId="1">DirectX!$B$21</definedName>
    <definedName name="Reverse_Z_Buffer" localSheetId="2">OpenGL!$B$21</definedName>
    <definedName name="Screen_Height" localSheetId="1">DirectX!$B$3</definedName>
    <definedName name="Screen_Height" localSheetId="2">OpenGL!$B$3</definedName>
    <definedName name="Screen_Width" localSheetId="1">DirectX!$B$2</definedName>
    <definedName name="Screen_Width" localSheetId="2">OpenGL!$B$2</definedName>
    <definedName name="Z_Far" localSheetId="1">DirectX!$B$6</definedName>
    <definedName name="Z_Far" localSheetId="2">OpenGL!$B$6</definedName>
    <definedName name="Z_Near" localSheetId="1">DirectX!$B$5</definedName>
    <definedName name="Z_Near" localSheetId="2">OpenGL!$B$5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3" l="1"/>
  <c r="B15" i="2"/>
  <c r="B24" i="2" s="1"/>
  <c r="D25" i="3" l="1"/>
  <c r="E25" i="3"/>
  <c r="C25" i="3"/>
  <c r="E26" i="3"/>
  <c r="C26" i="3"/>
  <c r="B26" i="3"/>
  <c r="D26" i="3"/>
  <c r="E27" i="3"/>
  <c r="D27" i="3"/>
  <c r="C27" i="3"/>
  <c r="B27" i="3"/>
  <c r="B25" i="3"/>
  <c r="E24" i="3"/>
  <c r="D24" i="3"/>
  <c r="C24" i="3"/>
  <c r="T17" i="3"/>
  <c r="E17" i="3"/>
  <c r="D17" i="3"/>
  <c r="S16" i="3"/>
  <c r="R15" i="3"/>
  <c r="U5" i="3"/>
  <c r="U4" i="3"/>
  <c r="M4" i="3"/>
  <c r="E4" i="3"/>
  <c r="C16" i="3" s="1"/>
  <c r="U3" i="3"/>
  <c r="O2" i="3"/>
  <c r="N2" i="3"/>
  <c r="O4" i="3" s="1"/>
  <c r="M2" i="3"/>
  <c r="P4" i="3" s="1"/>
  <c r="E2" i="3"/>
  <c r="E3" i="3" s="1"/>
  <c r="B24" i="3" s="1"/>
  <c r="C27" i="2"/>
  <c r="D27" i="2"/>
  <c r="E27" i="2"/>
  <c r="B27" i="2"/>
  <c r="C26" i="2"/>
  <c r="B26" i="2"/>
  <c r="D25" i="2"/>
  <c r="E25" i="2"/>
  <c r="B25" i="2"/>
  <c r="C24" i="2"/>
  <c r="D24" i="2"/>
  <c r="E24" i="2"/>
  <c r="T17" i="2"/>
  <c r="S16" i="2"/>
  <c r="R15" i="2"/>
  <c r="U5" i="2"/>
  <c r="U4" i="2"/>
  <c r="U3" i="2"/>
  <c r="O2" i="2"/>
  <c r="N2" i="2"/>
  <c r="M2" i="2"/>
  <c r="E17" i="2"/>
  <c r="E26" i="2" s="1"/>
  <c r="T11" i="3" l="1"/>
  <c r="N4" i="3"/>
  <c r="R10" i="3" s="1"/>
  <c r="T9" i="3"/>
  <c r="S10" i="3"/>
  <c r="P4" i="2"/>
  <c r="N4" i="2"/>
  <c r="O4" i="2"/>
  <c r="M4" i="2"/>
  <c r="D17" i="2"/>
  <c r="D26" i="2" s="1"/>
  <c r="E4" i="2"/>
  <c r="R11" i="3" l="1"/>
  <c r="S9" i="3"/>
  <c r="S11" i="3"/>
  <c r="R9" i="3"/>
  <c r="W3" i="3" s="1" a="1"/>
  <c r="T10" i="3"/>
  <c r="S11" i="2"/>
  <c r="R9" i="2"/>
  <c r="T10" i="2"/>
  <c r="T11" i="2"/>
  <c r="S10" i="2"/>
  <c r="S9" i="2"/>
  <c r="R10" i="2"/>
  <c r="R11" i="2"/>
  <c r="T9" i="2"/>
  <c r="C16" i="2"/>
  <c r="C25" i="2" s="1"/>
  <c r="E2" i="2"/>
  <c r="E3" i="2" s="1"/>
  <c r="W6" i="3" l="1"/>
  <c r="W5" i="3"/>
  <c r="W4" i="3"/>
  <c r="W3" i="3"/>
  <c r="Z6" i="3"/>
  <c r="Z5" i="3"/>
  <c r="Z3" i="3"/>
  <c r="Z4" i="3"/>
  <c r="X5" i="3"/>
  <c r="X3" i="3"/>
  <c r="Y6" i="3"/>
  <c r="Y5" i="3"/>
  <c r="Y4" i="3"/>
  <c r="Y3" i="3"/>
  <c r="X6" i="3"/>
  <c r="X4" i="3"/>
  <c r="W3" i="2" a="1"/>
  <c r="W9" i="3" l="1" a="1"/>
  <c r="W3" i="2"/>
  <c r="Z5" i="2"/>
  <c r="Y5" i="2"/>
  <c r="X5" i="2"/>
  <c r="W4" i="2"/>
  <c r="Z4" i="2"/>
  <c r="Y4" i="2"/>
  <c r="X4" i="2"/>
  <c r="W6" i="2"/>
  <c r="Z3" i="2"/>
  <c r="Y3" i="2"/>
  <c r="X3" i="2"/>
  <c r="Z6" i="2"/>
  <c r="Y6" i="2"/>
  <c r="X6" i="2"/>
  <c r="W5" i="2"/>
  <c r="W12" i="3" l="1"/>
  <c r="H10" i="3" s="1"/>
  <c r="W11" i="3"/>
  <c r="H9" i="3" s="1"/>
  <c r="W10" i="3"/>
  <c r="H8" i="3" s="1"/>
  <c r="W9" i="3"/>
  <c r="H7" i="3" s="1"/>
  <c r="X12" i="3"/>
  <c r="I10" i="3" s="1"/>
  <c r="X11" i="3"/>
  <c r="I9" i="3" s="1"/>
  <c r="X10" i="3"/>
  <c r="I8" i="3" s="1"/>
  <c r="Z12" i="3"/>
  <c r="K10" i="3" s="1"/>
  <c r="Z11" i="3"/>
  <c r="K9" i="3" s="1"/>
  <c r="Z10" i="3"/>
  <c r="K8" i="3" s="1"/>
  <c r="Z9" i="3"/>
  <c r="K7" i="3" s="1"/>
  <c r="X9" i="3"/>
  <c r="I7" i="3" s="1"/>
  <c r="Y12" i="3"/>
  <c r="J10" i="3" s="1"/>
  <c r="Y11" i="3"/>
  <c r="J9" i="3" s="1"/>
  <c r="Y10" i="3"/>
  <c r="J8" i="3" s="1"/>
  <c r="Y9" i="3"/>
  <c r="J7" i="3" s="1"/>
  <c r="W9" i="2" a="1"/>
  <c r="B9" i="3" l="1" a="1"/>
  <c r="W9" i="2"/>
  <c r="H7" i="2" s="1"/>
  <c r="Z11" i="2"/>
  <c r="K9" i="2" s="1"/>
  <c r="Y11" i="2"/>
  <c r="J9" i="2" s="1"/>
  <c r="X11" i="2"/>
  <c r="I9" i="2" s="1"/>
  <c r="W11" i="2"/>
  <c r="H9" i="2" s="1"/>
  <c r="Z10" i="2"/>
  <c r="K8" i="2" s="1"/>
  <c r="Y10" i="2"/>
  <c r="J8" i="2" s="1"/>
  <c r="X10" i="2"/>
  <c r="I8" i="2" s="1"/>
  <c r="W10" i="2"/>
  <c r="H8" i="2" s="1"/>
  <c r="Z9" i="2"/>
  <c r="K7" i="2" s="1"/>
  <c r="Y9" i="2"/>
  <c r="J7" i="2" s="1"/>
  <c r="X9" i="2"/>
  <c r="I7" i="2" s="1"/>
  <c r="Z12" i="2"/>
  <c r="K10" i="2" s="1"/>
  <c r="Y12" i="2"/>
  <c r="J10" i="2" s="1"/>
  <c r="X12" i="2"/>
  <c r="I10" i="2" s="1"/>
  <c r="W12" i="2"/>
  <c r="H10" i="2" s="1"/>
  <c r="B12" i="3" l="1"/>
  <c r="B11" i="3"/>
  <c r="B10" i="3"/>
  <c r="B9" i="3"/>
  <c r="B30" i="3" s="1" a="1"/>
  <c r="C11" i="3"/>
  <c r="E12" i="3"/>
  <c r="E11" i="3"/>
  <c r="E10" i="3"/>
  <c r="E9" i="3"/>
  <c r="C12" i="3"/>
  <c r="C9" i="3"/>
  <c r="D12" i="3"/>
  <c r="D11" i="3"/>
  <c r="D10" i="3"/>
  <c r="D9" i="3"/>
  <c r="C10" i="3"/>
  <c r="B9" i="2" a="1"/>
  <c r="D33" i="3" l="1"/>
  <c r="D32" i="3"/>
  <c r="D31" i="3"/>
  <c r="D30" i="3"/>
  <c r="C33" i="3"/>
  <c r="C32" i="3"/>
  <c r="C31" i="3"/>
  <c r="C30" i="3"/>
  <c r="B33" i="3"/>
  <c r="B32" i="3"/>
  <c r="B31" i="3"/>
  <c r="B30" i="3"/>
  <c r="E33" i="3"/>
  <c r="E32" i="3"/>
  <c r="E31" i="3"/>
  <c r="E30" i="3"/>
  <c r="B9" i="2"/>
  <c r="E11" i="2"/>
  <c r="D9" i="2"/>
  <c r="C9" i="2"/>
  <c r="B12" i="2"/>
  <c r="E9" i="2"/>
  <c r="C12" i="2"/>
  <c r="E12" i="2"/>
  <c r="B11" i="2"/>
  <c r="D12" i="2"/>
  <c r="C11" i="2"/>
  <c r="E10" i="2"/>
  <c r="B10" i="2"/>
  <c r="D10" i="2"/>
  <c r="C10" i="2"/>
  <c r="D11" i="2"/>
  <c r="B40" i="3" l="1"/>
  <c r="C40" i="3"/>
  <c r="D40" i="3"/>
  <c r="E40" i="3"/>
  <c r="B30" i="2" a="1"/>
  <c r="B30" i="2" s="1"/>
  <c r="D43" i="3" l="1"/>
  <c r="B43" i="3"/>
  <c r="D46" i="3"/>
  <c r="B46" i="3"/>
  <c r="C43" i="3"/>
  <c r="C46" i="3"/>
  <c r="C30" i="2"/>
  <c r="C31" i="2"/>
  <c r="C32" i="2"/>
  <c r="C33" i="2"/>
  <c r="D30" i="2"/>
  <c r="D31" i="2"/>
  <c r="D32" i="2"/>
  <c r="D33" i="2"/>
  <c r="E30" i="2"/>
  <c r="E31" i="2"/>
  <c r="E32" i="2"/>
  <c r="E33" i="2"/>
  <c r="B31" i="2"/>
  <c r="B32" i="2"/>
  <c r="B33" i="2"/>
  <c r="C49" i="3" l="1"/>
  <c r="B49" i="3"/>
  <c r="E40" i="2"/>
  <c r="B40" i="2"/>
  <c r="C40" i="2"/>
  <c r="D40" i="2"/>
  <c r="D43" i="2" l="1"/>
  <c r="C43" i="2"/>
  <c r="B43" i="2"/>
  <c r="B46" i="2"/>
  <c r="C46" i="2"/>
  <c r="D46" i="2"/>
  <c r="C49" i="2" l="1"/>
  <c r="B49" i="2"/>
</calcChain>
</file>

<file path=xl/sharedStrings.xml><?xml version="1.0" encoding="utf-8"?>
<sst xmlns="http://schemas.openxmlformats.org/spreadsheetml/2006/main" count="123" uniqueCount="55">
  <si>
    <t>Camera Settings</t>
  </si>
  <si>
    <t>Screen Width</t>
  </si>
  <si>
    <t>Screen Height</t>
  </si>
  <si>
    <t>Z Near Clipping Plane</t>
  </si>
  <si>
    <t>Z Far Clipping Plane</t>
  </si>
  <si>
    <t>Aspect Ratio</t>
  </si>
  <si>
    <t>Projection Matrix</t>
  </si>
  <si>
    <t>X</t>
  </si>
  <si>
    <t>Y</t>
  </si>
  <si>
    <t>Z</t>
  </si>
  <si>
    <t>W</t>
  </si>
  <si>
    <t>View Matrix (Modelview)</t>
  </si>
  <si>
    <t>Player Node Transform</t>
  </si>
  <si>
    <t>Position</t>
  </si>
  <si>
    <t>Rotation</t>
  </si>
  <si>
    <t>Scale</t>
  </si>
  <si>
    <t>x</t>
  </si>
  <si>
    <t>y</t>
  </si>
  <si>
    <t>z</t>
  </si>
  <si>
    <t>w</t>
  </si>
  <si>
    <t>Translation Matrix</t>
  </si>
  <si>
    <t>Rotation Matrix</t>
  </si>
  <si>
    <t>Scale Matrix</t>
  </si>
  <si>
    <t>Translation × Rotation × Scale</t>
  </si>
  <si>
    <t>Translation × Rotation</t>
  </si>
  <si>
    <t>Reverse Z Buffer</t>
  </si>
  <si>
    <t>Invert Y axis</t>
  </si>
  <si>
    <t>Final GPU Projection Matrix</t>
  </si>
  <si>
    <t>fovY (rad)</t>
  </si>
  <si>
    <t>fovX (rad)</t>
  </si>
  <si>
    <t>FOV (deg)</t>
  </si>
  <si>
    <t>Camera World Transformation Matrix</t>
  </si>
  <si>
    <t>Projection × Modelview</t>
  </si>
  <si>
    <t>Normalized Device Coordinates</t>
  </si>
  <si>
    <t>Vertex World Space Position</t>
  </si>
  <si>
    <t>Vertex Screen Space Position</t>
  </si>
  <si>
    <t>Clipped?</t>
  </si>
  <si>
    <t>XYZ/W</t>
  </si>
  <si>
    <t>Did an XYZ component cause the vertex to be clipped?</t>
  </si>
  <si>
    <t>Vertex Clip Space Position</t>
  </si>
  <si>
    <t>Scale Bias for DirectX Applied (-1 to 1 becomes 0 to 1)</t>
  </si>
  <si>
    <r>
      <t>This is a simulator of how coordinates of a single vertex are transformed from world space to screen space in Unigine.</t>
    </r>
    <r>
      <rPr>
        <b/>
        <sz val="11"/>
        <color theme="1"/>
        <rFont val="Calibri"/>
        <family val="2"/>
        <scheme val="minor"/>
      </rPr>
      <t/>
    </r>
  </si>
  <si>
    <r>
      <t xml:space="preserve"> The</t>
    </r>
    <r>
      <rPr>
        <b/>
        <sz val="11"/>
        <color theme="1"/>
        <rFont val="Calibri"/>
        <family val="2"/>
        <scheme val="minor"/>
      </rPr>
      <t xml:space="preserve"> Final GPU Projection Matrix</t>
    </r>
    <r>
      <rPr>
        <sz val="11"/>
        <color theme="1"/>
        <rFont val="Calibri"/>
        <family val="2"/>
        <scheme val="minor"/>
      </rPr>
      <t xml:space="preserve"> is the projection matrix which takes into consideration the rendering API.</t>
    </r>
  </si>
  <si>
    <r>
      <rPr>
        <b/>
        <sz val="11"/>
        <color theme="1"/>
        <rFont val="Calibri"/>
        <family val="2"/>
        <scheme val="minor"/>
      </rPr>
      <t>Modelview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Projection</t>
    </r>
    <r>
      <rPr>
        <sz val="11"/>
        <color theme="1"/>
        <rFont val="Calibri"/>
        <family val="2"/>
        <scheme val="minor"/>
      </rPr>
      <t xml:space="preserve"> matrices are defined based on the corresponding </t>
    </r>
    <r>
      <rPr>
        <b/>
        <sz val="11"/>
        <color theme="1"/>
        <rFont val="Calibri"/>
        <family val="2"/>
        <scheme val="minor"/>
      </rPr>
      <t>Player Node Transform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Camera Settings</t>
    </r>
    <r>
      <rPr>
        <sz val="11"/>
        <color theme="1"/>
        <rFont val="Calibri"/>
        <family val="2"/>
        <scheme val="minor"/>
      </rPr>
      <t xml:space="preserve"> specified.</t>
    </r>
  </si>
  <si>
    <t>Legend:</t>
  </si>
  <si>
    <t>- Main Stages</t>
  </si>
  <si>
    <t>- Intermediate Calculations</t>
  </si>
  <si>
    <t>- Input Parameters</t>
  </si>
  <si>
    <t>- Data Which is Calculated Based on Inputs</t>
  </si>
  <si>
    <t>- Final Result</t>
  </si>
  <si>
    <t>Intermediate Calculations</t>
  </si>
  <si>
    <t>Half Rotation in Radians</t>
  </si>
  <si>
    <t>Rotation Quaternion</t>
  </si>
  <si>
    <t>Aspect Correction</t>
  </si>
  <si>
    <t>By default, the Projection matrix of the camera doesn't store an aspect ratio of the screen: aspect correction is performed automatically for the current viewport. Hovewer, in this simulator manual aspect correction can be enabled for correct results.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</si>
</sst>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3" borderId="0" xfId="0" applyFill="1"/>
    <xf numFmtId="11" fontId="0" fillId="0" borderId="0" xfId="0" applyNumberFormat="1"/>
    <xf numFmtId="0" fontId="0" fillId="6" borderId="0" xfId="0" applyFill="1"/>
    <xf numFmtId="0" fontId="0" fillId="8" borderId="0" xfId="0" applyFill="1"/>
    <xf numFmtId="0" fontId="0" fillId="10" borderId="0" xfId="0" applyFill="1"/>
    <xf numFmtId="0" fontId="0" fillId="6" borderId="1" xfId="0" applyFill="1" applyBorder="1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0" fillId="6" borderId="2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8" borderId="1" xfId="0" applyFill="1" applyBorder="1"/>
    <xf numFmtId="0" fontId="0" fillId="10" borderId="1" xfId="0" applyFill="1" applyBorder="1"/>
    <xf numFmtId="0" fontId="0" fillId="5" borderId="1" xfId="0" applyFill="1" applyBorder="1" applyAlignment="1">
      <alignment horizontal="center"/>
    </xf>
    <xf numFmtId="0" fontId="0" fillId="4" borderId="1" xfId="0" applyFill="1" applyBorder="1"/>
    <xf numFmtId="0" fontId="0" fillId="9" borderId="1" xfId="0" applyFill="1" applyBorder="1"/>
    <xf numFmtId="0" fontId="0" fillId="9" borderId="13" xfId="0" applyFill="1" applyBorder="1"/>
    <xf numFmtId="0" fontId="0" fillId="10" borderId="13" xfId="0" applyFill="1" applyBorder="1"/>
    <xf numFmtId="0" fontId="0" fillId="0" borderId="0" xfId="0" applyAlignment="1">
      <alignment wrapText="1"/>
    </xf>
    <xf numFmtId="49" fontId="0" fillId="0" borderId="0" xfId="0" applyNumberFormat="1"/>
    <xf numFmtId="0" fontId="0" fillId="7" borderId="2" xfId="0" applyFill="1" applyBorder="1"/>
    <xf numFmtId="0" fontId="0" fillId="10" borderId="12" xfId="0" applyFill="1" applyBorder="1"/>
    <xf numFmtId="0" fontId="0" fillId="0" borderId="11" xfId="0" applyBorder="1"/>
    <xf numFmtId="0" fontId="0" fillId="10" borderId="10" xfId="0" applyFill="1" applyBorder="1"/>
    <xf numFmtId="0" fontId="0" fillId="2" borderId="5" xfId="0" applyFill="1" applyBorder="1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A8" sqref="A8"/>
    </sheetView>
  </sheetViews>
  <sheetFormatPr defaultRowHeight="15" x14ac:dyDescent="0.25"/>
  <cols>
    <col min="1" max="1" width="68.5703125" customWidth="1"/>
    <col min="3" max="3" width="41.28515625" customWidth="1"/>
  </cols>
  <sheetData>
    <row r="1" spans="1:3" ht="30" x14ac:dyDescent="0.25">
      <c r="A1" s="25" t="s">
        <v>41</v>
      </c>
    </row>
    <row r="2" spans="1:3" ht="30" x14ac:dyDescent="0.25">
      <c r="A2" s="25" t="s">
        <v>43</v>
      </c>
    </row>
    <row r="3" spans="1:3" ht="30" x14ac:dyDescent="0.25">
      <c r="A3" s="25" t="s">
        <v>42</v>
      </c>
    </row>
    <row r="4" spans="1:3" ht="60" x14ac:dyDescent="0.25">
      <c r="A4" s="25" t="s">
        <v>54</v>
      </c>
    </row>
    <row r="5" spans="1:3" x14ac:dyDescent="0.25">
      <c r="B5" s="25" t="s">
        <v>44</v>
      </c>
    </row>
    <row r="6" spans="1:3" x14ac:dyDescent="0.25">
      <c r="B6" s="3"/>
      <c r="C6" s="26" t="s">
        <v>45</v>
      </c>
    </row>
    <row r="7" spans="1:3" x14ac:dyDescent="0.25">
      <c r="B7" s="5"/>
      <c r="C7" s="26" t="s">
        <v>46</v>
      </c>
    </row>
    <row r="8" spans="1:3" x14ac:dyDescent="0.25">
      <c r="B8" s="32"/>
      <c r="C8" s="26" t="s">
        <v>47</v>
      </c>
    </row>
    <row r="9" spans="1:3" x14ac:dyDescent="0.25">
      <c r="B9" s="1"/>
      <c r="C9" s="26" t="s">
        <v>48</v>
      </c>
    </row>
    <row r="10" spans="1:3" x14ac:dyDescent="0.25">
      <c r="B10" s="4"/>
      <c r="C10" s="26" t="s">
        <v>49</v>
      </c>
    </row>
    <row r="11" spans="1:3" x14ac:dyDescent="0.25">
      <c r="C11" s="26"/>
    </row>
    <row r="12" spans="1:3" x14ac:dyDescent="0.25">
      <c r="C12" s="2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"/>
  <sheetViews>
    <sheetView tabSelected="1" zoomScaleNormal="100" workbookViewId="0">
      <selection activeCell="E3" sqref="E3"/>
    </sheetView>
  </sheetViews>
  <sheetFormatPr defaultRowHeight="15" x14ac:dyDescent="0.25"/>
  <cols>
    <col min="1" max="1" width="48.7109375" customWidth="1"/>
    <col min="2" max="2" width="12.7109375" customWidth="1"/>
    <col min="3" max="3" width="12.42578125" customWidth="1"/>
    <col min="4" max="4" width="13.42578125" customWidth="1"/>
    <col min="7" max="7" width="34.28515625" customWidth="1"/>
    <col min="8" max="8" width="9.28515625" bestFit="1" customWidth="1"/>
    <col min="9" max="9" width="12.7109375" bestFit="1" customWidth="1"/>
    <col min="10" max="10" width="9.28515625" bestFit="1" customWidth="1"/>
    <col min="11" max="11" width="7.7109375" customWidth="1"/>
    <col min="12" max="12" width="26.28515625" customWidth="1"/>
    <col min="13" max="13" width="12" bestFit="1" customWidth="1"/>
    <col min="14" max="15" width="12.7109375" bestFit="1" customWidth="1"/>
    <col min="17" max="17" width="26" customWidth="1"/>
    <col min="18" max="20" width="12.7109375" bestFit="1" customWidth="1"/>
    <col min="22" max="22" width="27.5703125" customWidth="1"/>
    <col min="23" max="24" width="9.42578125" bestFit="1" customWidth="1"/>
    <col min="25" max="25" width="12.85546875" bestFit="1" customWidth="1"/>
    <col min="26" max="26" width="12.7109375" bestFit="1" customWidth="1"/>
  </cols>
  <sheetData>
    <row r="1" spans="1:26" x14ac:dyDescent="0.25">
      <c r="A1" s="6" t="s">
        <v>0</v>
      </c>
      <c r="B1" s="11"/>
      <c r="C1" s="11"/>
      <c r="D1" s="11"/>
      <c r="E1" s="12"/>
      <c r="G1" s="6" t="s">
        <v>12</v>
      </c>
      <c r="H1" s="11"/>
      <c r="I1" s="11"/>
      <c r="J1" s="11"/>
      <c r="K1" s="12"/>
      <c r="L1" s="27" t="s">
        <v>50</v>
      </c>
      <c r="M1" s="11"/>
      <c r="N1" s="11"/>
      <c r="O1" s="11"/>
      <c r="P1" s="12"/>
    </row>
    <row r="2" spans="1:26" x14ac:dyDescent="0.25">
      <c r="A2" s="13" t="s">
        <v>1</v>
      </c>
      <c r="B2" s="8">
        <v>1920</v>
      </c>
      <c r="C2" s="9"/>
      <c r="D2" s="7" t="s">
        <v>5</v>
      </c>
      <c r="E2" s="22">
        <f>Screen_Width/Screen_Height</f>
        <v>1.7777777777777777</v>
      </c>
      <c r="G2" s="13" t="s">
        <v>13</v>
      </c>
      <c r="H2" s="8">
        <v>0</v>
      </c>
      <c r="I2" s="8">
        <v>2</v>
      </c>
      <c r="J2" s="8">
        <v>0.5</v>
      </c>
      <c r="K2" s="14"/>
      <c r="L2" s="13" t="s">
        <v>51</v>
      </c>
      <c r="M2" s="19">
        <f>RADIANS(H3)*0.5</f>
        <v>2.3561944901923448</v>
      </c>
      <c r="N2" s="19">
        <f>RADIANS(I3)*0.5</f>
        <v>0</v>
      </c>
      <c r="O2" s="19">
        <f>RADIANS(J3)*0.5</f>
        <v>1.5707963267948966</v>
      </c>
      <c r="P2" s="9"/>
      <c r="Q2" s="19" t="s">
        <v>20</v>
      </c>
      <c r="R2" s="11"/>
      <c r="S2" s="11"/>
      <c r="T2" s="11"/>
      <c r="U2" s="12"/>
      <c r="V2" s="19" t="s">
        <v>24</v>
      </c>
      <c r="W2" s="11"/>
      <c r="X2" s="11"/>
      <c r="Y2" s="11"/>
      <c r="Z2" s="12"/>
    </row>
    <row r="3" spans="1:26" x14ac:dyDescent="0.25">
      <c r="A3" s="13" t="s">
        <v>2</v>
      </c>
      <c r="B3" s="8">
        <v>1080</v>
      </c>
      <c r="C3" s="9"/>
      <c r="D3" s="7" t="s">
        <v>29</v>
      </c>
      <c r="E3" s="22">
        <f>2*ATAN(TAN(fovY/2)*Aspect_Ratio)</f>
        <v>1.5968513788836174</v>
      </c>
      <c r="G3" s="13" t="s">
        <v>14</v>
      </c>
      <c r="H3" s="8">
        <v>270</v>
      </c>
      <c r="I3" s="8">
        <v>0</v>
      </c>
      <c r="J3" s="8">
        <v>180</v>
      </c>
      <c r="K3" s="14"/>
      <c r="L3" s="13"/>
      <c r="M3" s="9" t="s">
        <v>16</v>
      </c>
      <c r="N3" s="9" t="s">
        <v>17</v>
      </c>
      <c r="O3" s="9" t="s">
        <v>18</v>
      </c>
      <c r="P3" s="9" t="s">
        <v>19</v>
      </c>
      <c r="Q3" s="13"/>
      <c r="R3" s="19">
        <v>1</v>
      </c>
      <c r="S3" s="19">
        <v>0</v>
      </c>
      <c r="T3" s="19">
        <v>0</v>
      </c>
      <c r="U3" s="19">
        <f>H2</f>
        <v>0</v>
      </c>
      <c r="V3" s="13"/>
      <c r="W3" s="19">
        <f t="array" ref="W3:Z6">MMULT(R3:U6,R9:U12)</f>
        <v>-1</v>
      </c>
      <c r="X3" s="19">
        <v>0</v>
      </c>
      <c r="Y3" s="19">
        <v>-1.22514845490862E-16</v>
      </c>
      <c r="Z3" s="19">
        <v>0</v>
      </c>
    </row>
    <row r="4" spans="1:26" x14ac:dyDescent="0.25">
      <c r="A4" s="13" t="s">
        <v>30</v>
      </c>
      <c r="B4" s="8">
        <v>60</v>
      </c>
      <c r="C4" s="9"/>
      <c r="D4" s="7" t="s">
        <v>28</v>
      </c>
      <c r="E4" s="22">
        <f>RADIANS(B4)</f>
        <v>1.0471975511965976</v>
      </c>
      <c r="G4" s="13" t="s">
        <v>15</v>
      </c>
      <c r="H4" s="8">
        <v>1</v>
      </c>
      <c r="I4" s="8">
        <v>1</v>
      </c>
      <c r="J4" s="8">
        <v>1</v>
      </c>
      <c r="K4" s="14"/>
      <c r="L4" s="15" t="s">
        <v>52</v>
      </c>
      <c r="M4" s="19">
        <f>COS(Player_Pitch)*SIN(Player_Yaw)*SIN(Player_Roll)+SIN(Player_Pitch)*COS(Player_Yaw)*COS(Player_Roll)</f>
        <v>4.3315539021305322E-17</v>
      </c>
      <c r="N4" s="19">
        <f>COS(Player_Pitch)*SIN(Player_Yaw)*COS(Player_Roll)-SIN(Player_Pitch)*COS(Player_Yaw)*SIN(Player_Roll)</f>
        <v>-0.70710678118654757</v>
      </c>
      <c r="O4" s="19">
        <f>SIN(Player_Pitch)*SIN(Player_Yaw)*COS(Player_Roll)+COS(Player_Pitch)*COS(Player_Yaw)*SIN(Player_Roll)</f>
        <v>-0.70710678118654746</v>
      </c>
      <c r="P4" s="28">
        <f>COS(Player_Pitch)*COS(Player_Yaw)*COS(Player_Roll)-SIN(Player_Pitch)*SIN(Player_Yaw)*SIN(Player_Roll)</f>
        <v>-4.3315539021305316E-17</v>
      </c>
      <c r="Q4" s="13"/>
      <c r="R4" s="19">
        <v>0</v>
      </c>
      <c r="S4" s="19">
        <v>1</v>
      </c>
      <c r="T4" s="19">
        <v>0</v>
      </c>
      <c r="U4" s="19">
        <f>I2</f>
        <v>2</v>
      </c>
      <c r="V4" s="13"/>
      <c r="W4" s="19">
        <v>-1.22514845490862E-16</v>
      </c>
      <c r="X4" s="19">
        <v>0</v>
      </c>
      <c r="Y4" s="19">
        <v>1</v>
      </c>
      <c r="Z4" s="19">
        <v>2</v>
      </c>
    </row>
    <row r="5" spans="1:26" x14ac:dyDescent="0.25">
      <c r="A5" s="13" t="s">
        <v>3</v>
      </c>
      <c r="B5" s="8">
        <v>0.1</v>
      </c>
      <c r="C5" s="9"/>
      <c r="D5" s="9"/>
      <c r="E5" s="14"/>
      <c r="G5" s="13"/>
      <c r="H5" s="9"/>
      <c r="I5" s="9"/>
      <c r="J5" s="9"/>
      <c r="K5" s="14"/>
      <c r="Q5" s="13"/>
      <c r="R5" s="19">
        <v>0</v>
      </c>
      <c r="S5" s="19">
        <v>0</v>
      </c>
      <c r="T5" s="19">
        <v>1</v>
      </c>
      <c r="U5" s="19">
        <f>J2</f>
        <v>0.5</v>
      </c>
      <c r="V5" s="13"/>
      <c r="W5" s="19">
        <v>0</v>
      </c>
      <c r="X5" s="19">
        <v>1</v>
      </c>
      <c r="Y5" s="19">
        <v>0</v>
      </c>
      <c r="Z5" s="19">
        <v>0.5</v>
      </c>
    </row>
    <row r="6" spans="1:26" x14ac:dyDescent="0.25">
      <c r="A6" s="15" t="s">
        <v>4</v>
      </c>
      <c r="B6" s="8">
        <v>10000</v>
      </c>
      <c r="C6" s="16"/>
      <c r="D6" s="16"/>
      <c r="E6" s="17"/>
      <c r="G6" s="6" t="s">
        <v>31</v>
      </c>
      <c r="H6" s="11"/>
      <c r="I6" s="11"/>
      <c r="J6" s="11"/>
      <c r="K6" s="12"/>
      <c r="Q6" s="15"/>
      <c r="R6" s="19">
        <v>0</v>
      </c>
      <c r="S6" s="19">
        <v>0</v>
      </c>
      <c r="T6" s="19">
        <v>0</v>
      </c>
      <c r="U6" s="19">
        <v>1</v>
      </c>
      <c r="V6" s="15"/>
      <c r="W6" s="19">
        <v>0</v>
      </c>
      <c r="X6" s="19">
        <v>0</v>
      </c>
      <c r="Y6" s="19">
        <v>0</v>
      </c>
      <c r="Z6" s="19">
        <v>1</v>
      </c>
    </row>
    <row r="7" spans="1:26" x14ac:dyDescent="0.25">
      <c r="G7" s="13"/>
      <c r="H7" s="22">
        <f t="shared" ref="H7:K10" si="0">W9</f>
        <v>-1</v>
      </c>
      <c r="I7" s="22">
        <f t="shared" si="0"/>
        <v>0</v>
      </c>
      <c r="J7" s="22">
        <f t="shared" si="0"/>
        <v>-1.22514845490862E-16</v>
      </c>
      <c r="K7" s="22">
        <f t="shared" si="0"/>
        <v>0</v>
      </c>
    </row>
    <row r="8" spans="1:26" x14ac:dyDescent="0.25">
      <c r="A8" s="6" t="s">
        <v>11</v>
      </c>
      <c r="B8" s="11"/>
      <c r="C8" s="11"/>
      <c r="D8" s="11"/>
      <c r="E8" s="12"/>
      <c r="G8" s="13"/>
      <c r="H8" s="22">
        <f t="shared" si="0"/>
        <v>-1.22514845490862E-16</v>
      </c>
      <c r="I8" s="22">
        <f t="shared" si="0"/>
        <v>0</v>
      </c>
      <c r="J8" s="22">
        <f t="shared" si="0"/>
        <v>1</v>
      </c>
      <c r="K8" s="22">
        <f t="shared" si="0"/>
        <v>2</v>
      </c>
      <c r="Q8" s="19" t="s">
        <v>21</v>
      </c>
      <c r="R8" s="11"/>
      <c r="S8" s="11"/>
      <c r="T8" s="11"/>
      <c r="U8" s="12"/>
      <c r="V8" s="19" t="s">
        <v>23</v>
      </c>
      <c r="W8" s="11"/>
      <c r="X8" s="11"/>
      <c r="Y8" s="11"/>
      <c r="Z8" s="12"/>
    </row>
    <row r="9" spans="1:26" x14ac:dyDescent="0.25">
      <c r="A9" s="13"/>
      <c r="B9" s="22">
        <f t="array" ref="B9:E12">MINVERSE(H7:K10)</f>
        <v>-1</v>
      </c>
      <c r="C9" s="22">
        <v>-1.22514845490862E-16</v>
      </c>
      <c r="D9" s="22">
        <v>0</v>
      </c>
      <c r="E9" s="22">
        <v>2.45029690981724E-16</v>
      </c>
      <c r="G9" s="13"/>
      <c r="H9" s="22">
        <f t="shared" si="0"/>
        <v>0</v>
      </c>
      <c r="I9" s="22">
        <f t="shared" si="0"/>
        <v>1</v>
      </c>
      <c r="J9" s="22">
        <f t="shared" si="0"/>
        <v>0</v>
      </c>
      <c r="K9" s="22">
        <f t="shared" si="0"/>
        <v>0.5</v>
      </c>
      <c r="Q9" s="13"/>
      <c r="R9" s="19">
        <f>1-(2*N4*N4)-(2*O4*O4)</f>
        <v>-1</v>
      </c>
      <c r="S9" s="19">
        <f>(2*M4*N4)+(2*P4*O4)</f>
        <v>0</v>
      </c>
      <c r="T9" s="19">
        <f>(2*M4*O4)-(2*P4*N4)</f>
        <v>-1.22514845490862E-16</v>
      </c>
      <c r="U9" s="19">
        <v>0</v>
      </c>
      <c r="V9" s="13"/>
      <c r="W9" s="19">
        <f t="array" ref="W9:Z12">MMULT(W3:Z6,R15:U18)</f>
        <v>-1</v>
      </c>
      <c r="X9" s="19">
        <v>0</v>
      </c>
      <c r="Y9" s="19">
        <v>-1.22514845490862E-16</v>
      </c>
      <c r="Z9" s="19">
        <v>0</v>
      </c>
    </row>
    <row r="10" spans="1:26" x14ac:dyDescent="0.25">
      <c r="A10" s="13"/>
      <c r="B10" s="22">
        <v>0</v>
      </c>
      <c r="C10" s="22">
        <v>0</v>
      </c>
      <c r="D10" s="22">
        <v>1</v>
      </c>
      <c r="E10" s="22">
        <v>-0.5</v>
      </c>
      <c r="G10" s="15"/>
      <c r="H10" s="22">
        <f t="shared" si="0"/>
        <v>0</v>
      </c>
      <c r="I10" s="22">
        <f t="shared" si="0"/>
        <v>0</v>
      </c>
      <c r="J10" s="22">
        <f t="shared" si="0"/>
        <v>0</v>
      </c>
      <c r="K10" s="22">
        <f t="shared" si="0"/>
        <v>1</v>
      </c>
      <c r="Q10" s="13"/>
      <c r="R10" s="19">
        <f>(2*M4*N4)-(2*P4*O4)</f>
        <v>-1.22514845490862E-16</v>
      </c>
      <c r="S10" s="19">
        <f>1-(2*M4*M4)-(2*O4*O4)</f>
        <v>0</v>
      </c>
      <c r="T10" s="19">
        <f>(2*N4*O4)+(2*P4*M4)</f>
        <v>1</v>
      </c>
      <c r="U10" s="19">
        <v>0</v>
      </c>
      <c r="V10" s="13"/>
      <c r="W10" s="19">
        <v>-1.22514845490862E-16</v>
      </c>
      <c r="X10" s="19">
        <v>0</v>
      </c>
      <c r="Y10" s="19">
        <v>1</v>
      </c>
      <c r="Z10" s="19">
        <v>2</v>
      </c>
    </row>
    <row r="11" spans="1:26" x14ac:dyDescent="0.25">
      <c r="A11" s="13"/>
      <c r="B11" s="22">
        <v>-1.22514845490862E-16</v>
      </c>
      <c r="C11" s="22">
        <v>1</v>
      </c>
      <c r="D11" s="22">
        <v>0</v>
      </c>
      <c r="E11" s="22">
        <v>-2</v>
      </c>
      <c r="G11" s="2"/>
      <c r="Q11" s="13"/>
      <c r="R11" s="19">
        <f>(2*M4*O4)+(2*P4*N4)</f>
        <v>0</v>
      </c>
      <c r="S11" s="19">
        <f>(2*N4*O4)-(2*P4*M4)</f>
        <v>1</v>
      </c>
      <c r="T11" s="19">
        <f>1-(2*M4*M4)-(2*N4*N4)</f>
        <v>0</v>
      </c>
      <c r="U11" s="19">
        <v>0</v>
      </c>
      <c r="V11" s="13"/>
      <c r="W11" s="19">
        <v>0</v>
      </c>
      <c r="X11" s="19">
        <v>1</v>
      </c>
      <c r="Y11" s="19">
        <v>0</v>
      </c>
      <c r="Z11" s="19">
        <v>0.5</v>
      </c>
    </row>
    <row r="12" spans="1:26" x14ac:dyDescent="0.25">
      <c r="A12" s="15"/>
      <c r="B12" s="22">
        <v>0</v>
      </c>
      <c r="C12" s="22">
        <v>0</v>
      </c>
      <c r="D12" s="22">
        <v>0</v>
      </c>
      <c r="E12" s="22">
        <v>1</v>
      </c>
      <c r="Q12" s="15"/>
      <c r="R12" s="19">
        <v>0</v>
      </c>
      <c r="S12" s="19">
        <v>0</v>
      </c>
      <c r="T12" s="19">
        <v>0</v>
      </c>
      <c r="U12" s="19">
        <v>1</v>
      </c>
      <c r="V12" s="15"/>
      <c r="W12" s="19">
        <v>0</v>
      </c>
      <c r="X12" s="19">
        <v>0</v>
      </c>
      <c r="Y12" s="19">
        <v>0</v>
      </c>
      <c r="Z12" s="19">
        <v>1</v>
      </c>
    </row>
    <row r="14" spans="1:26" x14ac:dyDescent="0.25">
      <c r="A14" s="6" t="s">
        <v>6</v>
      </c>
      <c r="B14" s="11"/>
      <c r="C14" s="11"/>
      <c r="D14" s="11"/>
      <c r="E14" s="12"/>
      <c r="Q14" s="19" t="s">
        <v>22</v>
      </c>
      <c r="R14" s="11"/>
      <c r="S14" s="11"/>
      <c r="T14" s="11"/>
      <c r="U14" s="12"/>
    </row>
    <row r="15" spans="1:26" x14ac:dyDescent="0.25">
      <c r="A15" s="13" t="s">
        <v>53</v>
      </c>
      <c r="B15" s="22">
        <f>1/(IF(A16&gt;0,Aspect_Ratio,1)*TAN(fovX/2))</f>
        <v>0.5480317008323401</v>
      </c>
      <c r="C15" s="22">
        <v>0</v>
      </c>
      <c r="D15" s="22">
        <v>0</v>
      </c>
      <c r="E15" s="22">
        <v>0</v>
      </c>
      <c r="Q15" s="13"/>
      <c r="R15" s="19">
        <f>H4</f>
        <v>1</v>
      </c>
      <c r="S15" s="19">
        <v>0</v>
      </c>
      <c r="T15" s="19">
        <v>0</v>
      </c>
      <c r="U15" s="19">
        <v>0</v>
      </c>
    </row>
    <row r="16" spans="1:26" x14ac:dyDescent="0.25">
      <c r="A16" s="31">
        <v>1</v>
      </c>
      <c r="B16" s="22">
        <v>0</v>
      </c>
      <c r="C16" s="22">
        <f>1/(TAN(fovY/2))</f>
        <v>1.7320508075688774</v>
      </c>
      <c r="D16" s="22">
        <v>0</v>
      </c>
      <c r="E16" s="22">
        <v>0</v>
      </c>
      <c r="Q16" s="13"/>
      <c r="R16" s="19">
        <v>0</v>
      </c>
      <c r="S16" s="19">
        <f>I4</f>
        <v>1</v>
      </c>
      <c r="T16" s="19">
        <v>0</v>
      </c>
      <c r="U16" s="19">
        <v>0</v>
      </c>
    </row>
    <row r="17" spans="1:21" x14ac:dyDescent="0.25">
      <c r="A17" s="13"/>
      <c r="B17" s="22">
        <v>0</v>
      </c>
      <c r="C17" s="22">
        <v>0</v>
      </c>
      <c r="D17" s="22">
        <f>-(Z_Far+Z_Near)/(Z_Far-Z_Near)</f>
        <v>-1.0000200002000021</v>
      </c>
      <c r="E17" s="22">
        <f>-(2*Z_Near*Z_Far)/(Z_Far-Z_Near)</f>
        <v>-0.20000200002000021</v>
      </c>
      <c r="Q17" s="13"/>
      <c r="R17" s="19">
        <v>0</v>
      </c>
      <c r="S17" s="19">
        <v>0</v>
      </c>
      <c r="T17" s="19">
        <f>J4</f>
        <v>1</v>
      </c>
      <c r="U17" s="19">
        <v>0</v>
      </c>
    </row>
    <row r="18" spans="1:21" x14ac:dyDescent="0.25">
      <c r="A18" s="15"/>
      <c r="B18" s="22">
        <v>0</v>
      </c>
      <c r="C18" s="22">
        <v>0</v>
      </c>
      <c r="D18" s="22">
        <v>-1</v>
      </c>
      <c r="E18" s="22">
        <v>0</v>
      </c>
      <c r="Q18" s="15"/>
      <c r="R18" s="19">
        <v>0</v>
      </c>
      <c r="S18" s="19">
        <v>0</v>
      </c>
      <c r="T18" s="19">
        <v>0</v>
      </c>
      <c r="U18" s="19">
        <v>1</v>
      </c>
    </row>
    <row r="20" spans="1:21" x14ac:dyDescent="0.25">
      <c r="A20" s="6" t="s">
        <v>27</v>
      </c>
      <c r="B20" s="11"/>
      <c r="C20" s="11"/>
      <c r="D20" s="11"/>
      <c r="E20" s="12"/>
    </row>
    <row r="21" spans="1:21" x14ac:dyDescent="0.25">
      <c r="A21" s="29" t="s">
        <v>25</v>
      </c>
      <c r="B21" s="8">
        <v>1</v>
      </c>
      <c r="C21" s="9"/>
      <c r="D21" s="9"/>
      <c r="E21" s="14"/>
    </row>
    <row r="22" spans="1:21" x14ac:dyDescent="0.25">
      <c r="A22" s="7" t="s">
        <v>26</v>
      </c>
      <c r="B22" s="8">
        <v>1</v>
      </c>
      <c r="C22" s="9"/>
      <c r="D22" s="9"/>
      <c r="E22" s="14"/>
    </row>
    <row r="23" spans="1:21" x14ac:dyDescent="0.25">
      <c r="A23" s="13"/>
      <c r="B23" s="9"/>
      <c r="C23" s="9"/>
      <c r="D23" s="9"/>
      <c r="E23" s="14"/>
    </row>
    <row r="24" spans="1:21" x14ac:dyDescent="0.25">
      <c r="A24" s="13"/>
      <c r="B24" s="22">
        <f>B15</f>
        <v>0.5480317008323401</v>
      </c>
      <c r="C24" s="22">
        <f t="shared" ref="C24:E24" si="1">C15</f>
        <v>0</v>
      </c>
      <c r="D24" s="22">
        <f t="shared" si="1"/>
        <v>0</v>
      </c>
      <c r="E24" s="22">
        <f t="shared" si="1"/>
        <v>0</v>
      </c>
    </row>
    <row r="25" spans="1:21" x14ac:dyDescent="0.25">
      <c r="A25" s="13"/>
      <c r="B25" s="22">
        <f>B16</f>
        <v>0</v>
      </c>
      <c r="C25" s="22">
        <f>IF(Invert_Y_axis&gt;0,-C16,C16)</f>
        <v>-1.7320508075688774</v>
      </c>
      <c r="D25" s="22">
        <f>IF(Invert_Y_axis&gt;0,-D16,D16)</f>
        <v>0</v>
      </c>
      <c r="E25" s="22">
        <f>IF(Invert_Y_axis&gt;0,-E16,E16)</f>
        <v>0</v>
      </c>
    </row>
    <row r="26" spans="1:21" x14ac:dyDescent="0.25">
      <c r="A26" s="13" t="s">
        <v>40</v>
      </c>
      <c r="B26" s="22">
        <f>B17*IF(Reverse_Z_Buffer&gt;0,-0.5,0.5)+B18*0.5</f>
        <v>0</v>
      </c>
      <c r="C26" s="22">
        <f>C17*IF(Reverse_Z_Buffer&gt;0,-0.5,0.5)+C18*0.5</f>
        <v>0</v>
      </c>
      <c r="D26" s="22">
        <f>D17*IF(Reverse_Z_Buffer&gt;0,-0.5,0.5)+D18*0.5</f>
        <v>1.0000100001072987E-5</v>
      </c>
      <c r="E26" s="22">
        <f>E17*IF(Reverse_Z_Buffer&gt;0,-0.5,0.5)+E18*0.5</f>
        <v>0.1000010000100001</v>
      </c>
    </row>
    <row r="27" spans="1:21" x14ac:dyDescent="0.25">
      <c r="A27" s="15"/>
      <c r="B27" s="22">
        <f>B18</f>
        <v>0</v>
      </c>
      <c r="C27" s="22">
        <f t="shared" ref="C27:E27" si="2">C18</f>
        <v>0</v>
      </c>
      <c r="D27" s="22">
        <f t="shared" si="2"/>
        <v>-1</v>
      </c>
      <c r="E27" s="22">
        <f t="shared" si="2"/>
        <v>0</v>
      </c>
    </row>
    <row r="29" spans="1:21" x14ac:dyDescent="0.25">
      <c r="A29" s="6" t="s">
        <v>32</v>
      </c>
      <c r="B29" s="11"/>
      <c r="C29" s="11"/>
      <c r="D29" s="11"/>
      <c r="E29" s="12"/>
    </row>
    <row r="30" spans="1:21" x14ac:dyDescent="0.25">
      <c r="A30" s="13"/>
      <c r="B30" s="22">
        <f t="array" ref="B30:E33">MMULT(B24:E27,B9:E12)</f>
        <v>-0.5480317008323401</v>
      </c>
      <c r="C30" s="22">
        <v>-6.7142019151568459E-17</v>
      </c>
      <c r="D30" s="22">
        <v>0</v>
      </c>
      <c r="E30" s="22">
        <v>1.3428403830313692E-16</v>
      </c>
    </row>
    <row r="31" spans="1:21" x14ac:dyDescent="0.25">
      <c r="A31" s="13"/>
      <c r="B31" s="22">
        <v>0</v>
      </c>
      <c r="C31" s="22">
        <v>0</v>
      </c>
      <c r="D31" s="22">
        <v>-1.7320508075688774</v>
      </c>
      <c r="E31" s="22">
        <v>0.86602540378443871</v>
      </c>
    </row>
    <row r="32" spans="1:21" x14ac:dyDescent="0.25">
      <c r="A32" s="13"/>
      <c r="B32" s="22">
        <v>-1.2251607065246259E-21</v>
      </c>
      <c r="C32" s="22">
        <v>1.0000100001072987E-5</v>
      </c>
      <c r="D32" s="22">
        <v>0</v>
      </c>
      <c r="E32" s="22">
        <v>9.9980999809997959E-2</v>
      </c>
    </row>
    <row r="33" spans="1:5" x14ac:dyDescent="0.25">
      <c r="A33" s="15"/>
      <c r="B33" s="22">
        <v>1.22514845490862E-16</v>
      </c>
      <c r="C33" s="22">
        <v>-1</v>
      </c>
      <c r="D33" s="22">
        <v>0</v>
      </c>
      <c r="E33" s="22">
        <v>2</v>
      </c>
    </row>
    <row r="36" spans="1:5" x14ac:dyDescent="0.25">
      <c r="A36" s="6" t="s">
        <v>34</v>
      </c>
      <c r="B36" s="20" t="s">
        <v>7</v>
      </c>
      <c r="C36" s="20" t="s">
        <v>8</v>
      </c>
      <c r="D36" s="20" t="s">
        <v>9</v>
      </c>
      <c r="E36" s="20" t="s">
        <v>10</v>
      </c>
    </row>
    <row r="37" spans="1:5" x14ac:dyDescent="0.25">
      <c r="A37" s="15"/>
      <c r="B37" s="8">
        <v>0</v>
      </c>
      <c r="C37" s="8">
        <v>0</v>
      </c>
      <c r="D37" s="8">
        <v>0</v>
      </c>
      <c r="E37" s="21">
        <v>1</v>
      </c>
    </row>
    <row r="39" spans="1:5" x14ac:dyDescent="0.25">
      <c r="B39" s="20" t="s">
        <v>7</v>
      </c>
      <c r="C39" s="20" t="s">
        <v>8</v>
      </c>
      <c r="D39" s="20" t="s">
        <v>9</v>
      </c>
      <c r="E39" s="20" t="s">
        <v>10</v>
      </c>
    </row>
    <row r="40" spans="1:5" x14ac:dyDescent="0.25">
      <c r="A40" s="6" t="s">
        <v>39</v>
      </c>
      <c r="B40" s="22">
        <f>SUMPRODUCT(B37:E37,B30:E30)</f>
        <v>1.3428403830313692E-16</v>
      </c>
      <c r="C40" s="22">
        <f>SUMPRODUCT(B37:E37,B31:E31)</f>
        <v>0.86602540378443871</v>
      </c>
      <c r="D40" s="22">
        <f>SUMPRODUCT(B37:E37,B32:E32)</f>
        <v>9.9980999809997959E-2</v>
      </c>
      <c r="E40" s="22">
        <f>SUMPRODUCT(B37:E37,B33:E33)</f>
        <v>2</v>
      </c>
    </row>
    <row r="42" spans="1:5" x14ac:dyDescent="0.25">
      <c r="A42" s="10" t="s">
        <v>36</v>
      </c>
      <c r="B42" s="20" t="s">
        <v>7</v>
      </c>
      <c r="C42" s="20" t="s">
        <v>8</v>
      </c>
      <c r="D42" s="20" t="s">
        <v>9</v>
      </c>
    </row>
    <row r="43" spans="1:5" x14ac:dyDescent="0.25">
      <c r="A43" s="12" t="s">
        <v>38</v>
      </c>
      <c r="B43" s="23" t="b">
        <f>IF(ABS(B40)&gt;$E$40,TRUE,FALSE)</f>
        <v>0</v>
      </c>
      <c r="C43" s="22" t="b">
        <f t="shared" ref="C43" si="3">IF(ABS(C40)&gt;$E$40,TRUE,FALSE)</f>
        <v>0</v>
      </c>
      <c r="D43" s="22" t="b">
        <f>IF(OR(ABS(D40)&gt;$E$40,D40&lt;0),TRUE,FALSE)</f>
        <v>0</v>
      </c>
    </row>
    <row r="45" spans="1:5" x14ac:dyDescent="0.25">
      <c r="A45" s="6" t="s">
        <v>37</v>
      </c>
      <c r="B45" s="20" t="s">
        <v>7</v>
      </c>
      <c r="C45" s="20" t="s">
        <v>8</v>
      </c>
      <c r="D45" s="20" t="s">
        <v>9</v>
      </c>
    </row>
    <row r="46" spans="1:5" x14ac:dyDescent="0.25">
      <c r="A46" t="s">
        <v>33</v>
      </c>
      <c r="B46" s="22">
        <f>B40/$E$40</f>
        <v>6.7142019151568459E-17</v>
      </c>
      <c r="C46" s="22">
        <f>C40/$E$40</f>
        <v>0.43301270189221935</v>
      </c>
      <c r="D46" s="22">
        <f>D40/$E$40</f>
        <v>4.9990499904998979E-2</v>
      </c>
    </row>
    <row r="48" spans="1:5" x14ac:dyDescent="0.25">
      <c r="A48" s="6" t="s">
        <v>35</v>
      </c>
      <c r="B48" s="20" t="s">
        <v>7</v>
      </c>
      <c r="C48" s="20" t="s">
        <v>8</v>
      </c>
    </row>
    <row r="49" spans="2:3" x14ac:dyDescent="0.25">
      <c r="B49" s="18">
        <f>IF(OR(B43,C43,D43),"Clipped",INT((B46*0.5+0.5)*Screen_Width))</f>
        <v>960</v>
      </c>
      <c r="C49" s="18">
        <f>IF(OR(C43,D43,E43),"Clipped",INT((C46*0.5+0.5)*Screen_Height))</f>
        <v>773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"/>
  <sheetViews>
    <sheetView zoomScaleNormal="100" workbookViewId="0">
      <selection activeCell="A16" sqref="A16"/>
    </sheetView>
  </sheetViews>
  <sheetFormatPr defaultRowHeight="15" x14ac:dyDescent="0.25"/>
  <cols>
    <col min="1" max="1" width="48.7109375" customWidth="1"/>
    <col min="2" max="2" width="12.7109375" customWidth="1"/>
    <col min="3" max="3" width="12.42578125" customWidth="1"/>
    <col min="4" max="4" width="13.42578125" customWidth="1"/>
    <col min="7" max="7" width="34.28515625" customWidth="1"/>
    <col min="8" max="8" width="9.28515625" bestFit="1" customWidth="1"/>
    <col min="9" max="9" width="12.7109375" bestFit="1" customWidth="1"/>
    <col min="10" max="10" width="9.28515625" bestFit="1" customWidth="1"/>
    <col min="11" max="11" width="7.7109375" customWidth="1"/>
    <col min="12" max="12" width="26.28515625" customWidth="1"/>
    <col min="13" max="13" width="12" bestFit="1" customWidth="1"/>
    <col min="14" max="15" width="12.7109375" bestFit="1" customWidth="1"/>
    <col min="17" max="17" width="26" customWidth="1"/>
    <col min="18" max="20" width="12.7109375" bestFit="1" customWidth="1"/>
    <col min="22" max="22" width="27.5703125" customWidth="1"/>
    <col min="23" max="24" width="9.42578125" bestFit="1" customWidth="1"/>
    <col min="25" max="25" width="12.85546875" bestFit="1" customWidth="1"/>
    <col min="26" max="26" width="12.7109375" bestFit="1" customWidth="1"/>
  </cols>
  <sheetData>
    <row r="1" spans="1:26" x14ac:dyDescent="0.25">
      <c r="A1" s="6" t="s">
        <v>0</v>
      </c>
      <c r="B1" s="11"/>
      <c r="C1" s="11"/>
      <c r="D1" s="11"/>
      <c r="E1" s="12"/>
      <c r="G1" s="6" t="s">
        <v>12</v>
      </c>
      <c r="H1" s="11"/>
      <c r="I1" s="11"/>
      <c r="J1" s="11"/>
      <c r="K1" s="12"/>
      <c r="L1" s="27" t="s">
        <v>50</v>
      </c>
      <c r="M1" s="11"/>
      <c r="N1" s="11"/>
      <c r="O1" s="11"/>
      <c r="P1" s="12"/>
    </row>
    <row r="2" spans="1:26" x14ac:dyDescent="0.25">
      <c r="A2" s="13" t="s">
        <v>1</v>
      </c>
      <c r="B2" s="8">
        <v>1920</v>
      </c>
      <c r="C2" s="9"/>
      <c r="D2" s="7" t="s">
        <v>5</v>
      </c>
      <c r="E2" s="22">
        <f>Screen_Width/Screen_Height</f>
        <v>1.7777777777777777</v>
      </c>
      <c r="G2" s="13" t="s">
        <v>13</v>
      </c>
      <c r="H2" s="8">
        <v>0</v>
      </c>
      <c r="I2" s="8">
        <v>2</v>
      </c>
      <c r="J2" s="8">
        <v>0.5</v>
      </c>
      <c r="K2" s="14"/>
      <c r="L2" s="13" t="s">
        <v>51</v>
      </c>
      <c r="M2" s="30">
        <f>RADIANS(H3)*0.5</f>
        <v>2.3561944901923448</v>
      </c>
      <c r="N2" s="30">
        <f>RADIANS(I3)*0.5</f>
        <v>0</v>
      </c>
      <c r="O2" s="30">
        <f>RADIANS(J3)*0.5</f>
        <v>1.5707963267948966</v>
      </c>
      <c r="P2" s="14"/>
      <c r="Q2" s="24" t="s">
        <v>20</v>
      </c>
      <c r="R2" s="11"/>
      <c r="S2" s="11"/>
      <c r="T2" s="11"/>
      <c r="U2" s="12"/>
      <c r="V2" s="19" t="s">
        <v>24</v>
      </c>
      <c r="W2" s="11"/>
      <c r="X2" s="11"/>
      <c r="Y2" s="11"/>
      <c r="Z2" s="12"/>
    </row>
    <row r="3" spans="1:26" x14ac:dyDescent="0.25">
      <c r="A3" s="13" t="s">
        <v>2</v>
      </c>
      <c r="B3" s="8">
        <v>1080</v>
      </c>
      <c r="C3" s="9"/>
      <c r="D3" s="7" t="s">
        <v>29</v>
      </c>
      <c r="E3" s="22">
        <f>2*ATAN(TAN(fovY/2)*Aspect_Ratio)</f>
        <v>1.5968513788836174</v>
      </c>
      <c r="G3" s="13" t="s">
        <v>14</v>
      </c>
      <c r="H3" s="8">
        <v>270</v>
      </c>
      <c r="I3" s="8">
        <v>0</v>
      </c>
      <c r="J3" s="8">
        <v>180</v>
      </c>
      <c r="K3" s="14"/>
      <c r="L3" s="13"/>
      <c r="M3" s="7" t="s">
        <v>16</v>
      </c>
      <c r="N3" s="7" t="s">
        <v>17</v>
      </c>
      <c r="O3" s="7" t="s">
        <v>18</v>
      </c>
      <c r="P3" s="7" t="s">
        <v>19</v>
      </c>
      <c r="Q3" s="9"/>
      <c r="R3" s="19">
        <v>1</v>
      </c>
      <c r="S3" s="19">
        <v>0</v>
      </c>
      <c r="T3" s="19">
        <v>0</v>
      </c>
      <c r="U3" s="19">
        <f>H2</f>
        <v>0</v>
      </c>
      <c r="V3" s="13"/>
      <c r="W3" s="19">
        <f t="array" ref="W3:Z6">MMULT(R3:U6,R9:U12)</f>
        <v>-1</v>
      </c>
      <c r="X3" s="19">
        <v>0</v>
      </c>
      <c r="Y3" s="19">
        <v>-1.22514845490862E-16</v>
      </c>
      <c r="Z3" s="19">
        <v>0</v>
      </c>
    </row>
    <row r="4" spans="1:26" x14ac:dyDescent="0.25">
      <c r="A4" s="13" t="s">
        <v>30</v>
      </c>
      <c r="B4" s="8">
        <v>60</v>
      </c>
      <c r="C4" s="9"/>
      <c r="D4" s="7" t="s">
        <v>28</v>
      </c>
      <c r="E4" s="22">
        <f>RADIANS(B4)</f>
        <v>1.0471975511965976</v>
      </c>
      <c r="G4" s="13" t="s">
        <v>15</v>
      </c>
      <c r="H4" s="8">
        <v>1</v>
      </c>
      <c r="I4" s="8">
        <v>1</v>
      </c>
      <c r="J4" s="8">
        <v>1</v>
      </c>
      <c r="K4" s="14"/>
      <c r="L4" s="15" t="s">
        <v>52</v>
      </c>
      <c r="M4" s="19">
        <f>COS(Player_Pitch)*SIN(Player_Yaw)*SIN(Player_Roll)+SIN(Player_Pitch)*COS(Player_Yaw)*COS(Player_Roll)</f>
        <v>4.3315539021305322E-17</v>
      </c>
      <c r="N4" s="19">
        <f>COS(Player_Pitch)*SIN(Player_Yaw)*COS(Player_Roll)-SIN(Player_Pitch)*COS(Player_Yaw)*SIN(Player_Roll)</f>
        <v>-0.70710678118654757</v>
      </c>
      <c r="O4" s="19">
        <f>SIN(Player_Pitch)*SIN(Player_Yaw)*COS(Player_Roll)+COS(Player_Pitch)*COS(Player_Yaw)*SIN(Player_Roll)</f>
        <v>-0.70710678118654746</v>
      </c>
      <c r="P4" s="19">
        <f>COS(Player_Pitch)*COS(Player_Yaw)*COS(Player_Roll)-SIN(Player_Pitch)*SIN(Player_Yaw)*SIN(Player_Roll)</f>
        <v>-4.3315539021305316E-17</v>
      </c>
      <c r="Q4" s="9"/>
      <c r="R4" s="19">
        <v>0</v>
      </c>
      <c r="S4" s="19">
        <v>1</v>
      </c>
      <c r="T4" s="19">
        <v>0</v>
      </c>
      <c r="U4" s="19">
        <f>I2</f>
        <v>2</v>
      </c>
      <c r="V4" s="13"/>
      <c r="W4" s="19">
        <v>-1.22514845490862E-16</v>
      </c>
      <c r="X4" s="19">
        <v>0</v>
      </c>
      <c r="Y4" s="19">
        <v>1</v>
      </c>
      <c r="Z4" s="19">
        <v>2</v>
      </c>
    </row>
    <row r="5" spans="1:26" x14ac:dyDescent="0.25">
      <c r="A5" s="13" t="s">
        <v>3</v>
      </c>
      <c r="B5" s="8">
        <v>0.1</v>
      </c>
      <c r="C5" s="9"/>
      <c r="D5" s="9"/>
      <c r="E5" s="14"/>
      <c r="G5" s="13"/>
      <c r="H5" s="9"/>
      <c r="I5" s="9"/>
      <c r="J5" s="9"/>
      <c r="K5" s="14"/>
      <c r="Q5" s="13"/>
      <c r="R5" s="19">
        <v>0</v>
      </c>
      <c r="S5" s="19">
        <v>0</v>
      </c>
      <c r="T5" s="19">
        <v>1</v>
      </c>
      <c r="U5" s="19">
        <f>J2</f>
        <v>0.5</v>
      </c>
      <c r="V5" s="13"/>
      <c r="W5" s="19">
        <v>0</v>
      </c>
      <c r="X5" s="19">
        <v>1</v>
      </c>
      <c r="Y5" s="19">
        <v>0</v>
      </c>
      <c r="Z5" s="19">
        <v>0.5</v>
      </c>
    </row>
    <row r="6" spans="1:26" x14ac:dyDescent="0.25">
      <c r="A6" s="15" t="s">
        <v>4</v>
      </c>
      <c r="B6" s="8">
        <v>10000</v>
      </c>
      <c r="C6" s="16"/>
      <c r="D6" s="16"/>
      <c r="E6" s="17"/>
      <c r="G6" s="6" t="s">
        <v>31</v>
      </c>
      <c r="H6" s="11"/>
      <c r="I6" s="11"/>
      <c r="J6" s="11"/>
      <c r="K6" s="12"/>
      <c r="Q6" s="15"/>
      <c r="R6" s="19">
        <v>0</v>
      </c>
      <c r="S6" s="19">
        <v>0</v>
      </c>
      <c r="T6" s="19">
        <v>0</v>
      </c>
      <c r="U6" s="19">
        <v>1</v>
      </c>
      <c r="V6" s="15"/>
      <c r="W6" s="19">
        <v>0</v>
      </c>
      <c r="X6" s="19">
        <v>0</v>
      </c>
      <c r="Y6" s="19">
        <v>0</v>
      </c>
      <c r="Z6" s="19">
        <v>1</v>
      </c>
    </row>
    <row r="7" spans="1:26" x14ac:dyDescent="0.25">
      <c r="G7" s="13"/>
      <c r="H7" s="22">
        <f t="shared" ref="H7:K10" si="0">W9</f>
        <v>-1</v>
      </c>
      <c r="I7" s="22">
        <f t="shared" si="0"/>
        <v>0</v>
      </c>
      <c r="J7" s="22">
        <f t="shared" si="0"/>
        <v>-1.22514845490862E-16</v>
      </c>
      <c r="K7" s="22">
        <f t="shared" si="0"/>
        <v>0</v>
      </c>
    </row>
    <row r="8" spans="1:26" x14ac:dyDescent="0.25">
      <c r="A8" s="6" t="s">
        <v>11</v>
      </c>
      <c r="B8" s="11"/>
      <c r="C8" s="11"/>
      <c r="D8" s="11"/>
      <c r="E8" s="12"/>
      <c r="G8" s="13"/>
      <c r="H8" s="22">
        <f t="shared" si="0"/>
        <v>-1.22514845490862E-16</v>
      </c>
      <c r="I8" s="22">
        <f t="shared" si="0"/>
        <v>0</v>
      </c>
      <c r="J8" s="22">
        <f t="shared" si="0"/>
        <v>1</v>
      </c>
      <c r="K8" s="22">
        <f t="shared" si="0"/>
        <v>2</v>
      </c>
      <c r="Q8" s="19" t="s">
        <v>21</v>
      </c>
      <c r="R8" s="11"/>
      <c r="S8" s="11"/>
      <c r="T8" s="11"/>
      <c r="U8" s="12"/>
      <c r="V8" s="19" t="s">
        <v>23</v>
      </c>
      <c r="W8" s="11"/>
      <c r="X8" s="11"/>
      <c r="Y8" s="11"/>
      <c r="Z8" s="12"/>
    </row>
    <row r="9" spans="1:26" x14ac:dyDescent="0.25">
      <c r="A9" s="13"/>
      <c r="B9" s="22">
        <f t="array" ref="B9:E12">MINVERSE(H7:K10)</f>
        <v>-1</v>
      </c>
      <c r="C9" s="22">
        <v>-1.22514845490862E-16</v>
      </c>
      <c r="D9" s="22">
        <v>0</v>
      </c>
      <c r="E9" s="22">
        <v>2.45029690981724E-16</v>
      </c>
      <c r="G9" s="13"/>
      <c r="H9" s="22">
        <f t="shared" si="0"/>
        <v>0</v>
      </c>
      <c r="I9" s="22">
        <f t="shared" si="0"/>
        <v>1</v>
      </c>
      <c r="J9" s="22">
        <f t="shared" si="0"/>
        <v>0</v>
      </c>
      <c r="K9" s="22">
        <f t="shared" si="0"/>
        <v>0.5</v>
      </c>
      <c r="Q9" s="13"/>
      <c r="R9" s="19">
        <f>1-(2*N4*N4)-(2*O4*O4)</f>
        <v>-1</v>
      </c>
      <c r="S9" s="19">
        <f>(2*M4*N4)+(2*P4*O4)</f>
        <v>0</v>
      </c>
      <c r="T9" s="19">
        <f>(2*M4*O4)-(2*P4*N4)</f>
        <v>-1.22514845490862E-16</v>
      </c>
      <c r="U9" s="19">
        <v>0</v>
      </c>
      <c r="V9" s="13"/>
      <c r="W9" s="19">
        <f t="array" ref="W9:Z12">MMULT(W3:Z6,R15:U18)</f>
        <v>-1</v>
      </c>
      <c r="X9" s="19">
        <v>0</v>
      </c>
      <c r="Y9" s="19">
        <v>-1.22514845490862E-16</v>
      </c>
      <c r="Z9" s="19">
        <v>0</v>
      </c>
    </row>
    <row r="10" spans="1:26" x14ac:dyDescent="0.25">
      <c r="A10" s="13"/>
      <c r="B10" s="22">
        <v>0</v>
      </c>
      <c r="C10" s="22">
        <v>0</v>
      </c>
      <c r="D10" s="22">
        <v>1</v>
      </c>
      <c r="E10" s="22">
        <v>-0.5</v>
      </c>
      <c r="G10" s="15"/>
      <c r="H10" s="22">
        <f t="shared" si="0"/>
        <v>0</v>
      </c>
      <c r="I10" s="22">
        <f t="shared" si="0"/>
        <v>0</v>
      </c>
      <c r="J10" s="22">
        <f t="shared" si="0"/>
        <v>0</v>
      </c>
      <c r="K10" s="22">
        <f t="shared" si="0"/>
        <v>1</v>
      </c>
      <c r="Q10" s="13"/>
      <c r="R10" s="19">
        <f>(2*M4*N4)-(2*P4*O4)</f>
        <v>-1.22514845490862E-16</v>
      </c>
      <c r="S10" s="19">
        <f>1-(2*M4*M4)-(2*O4*O4)</f>
        <v>0</v>
      </c>
      <c r="T10" s="19">
        <f>(2*N4*O4)+(2*P4*M4)</f>
        <v>1</v>
      </c>
      <c r="U10" s="19">
        <v>0</v>
      </c>
      <c r="V10" s="13"/>
      <c r="W10" s="19">
        <v>-1.22514845490862E-16</v>
      </c>
      <c r="X10" s="19">
        <v>0</v>
      </c>
      <c r="Y10" s="19">
        <v>1</v>
      </c>
      <c r="Z10" s="19">
        <v>2</v>
      </c>
    </row>
    <row r="11" spans="1:26" x14ac:dyDescent="0.25">
      <c r="A11" s="13"/>
      <c r="B11" s="22">
        <v>-1.22514845490862E-16</v>
      </c>
      <c r="C11" s="22">
        <v>1</v>
      </c>
      <c r="D11" s="22">
        <v>0</v>
      </c>
      <c r="E11" s="22">
        <v>-2</v>
      </c>
      <c r="G11" s="2"/>
      <c r="Q11" s="13"/>
      <c r="R11" s="19">
        <f>(2*M4*O4)+(2*P4*N4)</f>
        <v>0</v>
      </c>
      <c r="S11" s="19">
        <f>(2*N4*O4)-(2*P4*M4)</f>
        <v>1</v>
      </c>
      <c r="T11" s="19">
        <f>1-(2*M4*M4)-(2*N4*N4)</f>
        <v>0</v>
      </c>
      <c r="U11" s="19">
        <v>0</v>
      </c>
      <c r="V11" s="13"/>
      <c r="W11" s="19">
        <v>0</v>
      </c>
      <c r="X11" s="19">
        <v>1</v>
      </c>
      <c r="Y11" s="19">
        <v>0</v>
      </c>
      <c r="Z11" s="19">
        <v>0.5</v>
      </c>
    </row>
    <row r="12" spans="1:26" x14ac:dyDescent="0.25">
      <c r="A12" s="15"/>
      <c r="B12" s="22">
        <v>0</v>
      </c>
      <c r="C12" s="22">
        <v>0</v>
      </c>
      <c r="D12" s="22">
        <v>0</v>
      </c>
      <c r="E12" s="22">
        <v>1</v>
      </c>
      <c r="Q12" s="15"/>
      <c r="R12" s="19">
        <v>0</v>
      </c>
      <c r="S12" s="19">
        <v>0</v>
      </c>
      <c r="T12" s="19">
        <v>0</v>
      </c>
      <c r="U12" s="19">
        <v>1</v>
      </c>
      <c r="V12" s="15"/>
      <c r="W12" s="19">
        <v>0</v>
      </c>
      <c r="X12" s="19">
        <v>0</v>
      </c>
      <c r="Y12" s="19">
        <v>0</v>
      </c>
      <c r="Z12" s="19">
        <v>1</v>
      </c>
    </row>
    <row r="14" spans="1:26" x14ac:dyDescent="0.25">
      <c r="A14" s="6" t="s">
        <v>6</v>
      </c>
      <c r="B14" s="11"/>
      <c r="C14" s="11"/>
      <c r="D14" s="11"/>
      <c r="E14" s="12"/>
      <c r="Q14" s="19" t="s">
        <v>22</v>
      </c>
      <c r="R14" s="11"/>
      <c r="S14" s="11"/>
      <c r="T14" s="11"/>
      <c r="U14" s="12"/>
    </row>
    <row r="15" spans="1:26" x14ac:dyDescent="0.25">
      <c r="A15" s="13" t="s">
        <v>53</v>
      </c>
      <c r="B15" s="22">
        <f>1/(IF(A16&gt;0,Aspect_Ratio,1)*TAN(fovX/2))</f>
        <v>0.5480317008323401</v>
      </c>
      <c r="C15" s="22">
        <v>0</v>
      </c>
      <c r="D15" s="22">
        <v>0</v>
      </c>
      <c r="E15" s="22">
        <v>0</v>
      </c>
      <c r="Q15" s="13"/>
      <c r="R15" s="19">
        <f>H4</f>
        <v>1</v>
      </c>
      <c r="S15" s="19">
        <v>0</v>
      </c>
      <c r="T15" s="19">
        <v>0</v>
      </c>
      <c r="U15" s="19">
        <v>0</v>
      </c>
    </row>
    <row r="16" spans="1:26" x14ac:dyDescent="0.25">
      <c r="A16" s="31">
        <v>1</v>
      </c>
      <c r="B16" s="22">
        <v>0</v>
      </c>
      <c r="C16" s="22">
        <f>1/(TAN(fovY/2))</f>
        <v>1.7320508075688774</v>
      </c>
      <c r="D16" s="22">
        <v>0</v>
      </c>
      <c r="E16" s="22">
        <v>0</v>
      </c>
      <c r="Q16" s="13"/>
      <c r="R16" s="19">
        <v>0</v>
      </c>
      <c r="S16" s="19">
        <f>I4</f>
        <v>1</v>
      </c>
      <c r="T16" s="19">
        <v>0</v>
      </c>
      <c r="U16" s="19">
        <v>0</v>
      </c>
    </row>
    <row r="17" spans="1:21" x14ac:dyDescent="0.25">
      <c r="A17" s="13"/>
      <c r="B17" s="22">
        <v>0</v>
      </c>
      <c r="C17" s="22">
        <v>0</v>
      </c>
      <c r="D17" s="22">
        <f>-(Z_Far+Z_Near)/(Z_Far-Z_Near)</f>
        <v>-1.0000200002000021</v>
      </c>
      <c r="E17" s="22">
        <f>-(2*Z_Near*Z_Far)/(Z_Far-Z_Near)</f>
        <v>-0.20000200002000021</v>
      </c>
      <c r="Q17" s="13"/>
      <c r="R17" s="19">
        <v>0</v>
      </c>
      <c r="S17" s="19">
        <v>0</v>
      </c>
      <c r="T17" s="19">
        <f>J4</f>
        <v>1</v>
      </c>
      <c r="U17" s="19">
        <v>0</v>
      </c>
    </row>
    <row r="18" spans="1:21" x14ac:dyDescent="0.25">
      <c r="A18" s="15"/>
      <c r="B18" s="22">
        <v>0</v>
      </c>
      <c r="C18" s="22">
        <v>0</v>
      </c>
      <c r="D18" s="22">
        <v>-1</v>
      </c>
      <c r="E18" s="22">
        <v>0</v>
      </c>
      <c r="Q18" s="15"/>
      <c r="R18" s="19">
        <v>0</v>
      </c>
      <c r="S18" s="19">
        <v>0</v>
      </c>
      <c r="T18" s="19">
        <v>0</v>
      </c>
      <c r="U18" s="19">
        <v>1</v>
      </c>
    </row>
    <row r="20" spans="1:21" x14ac:dyDescent="0.25">
      <c r="A20" s="6" t="s">
        <v>27</v>
      </c>
      <c r="B20" s="11"/>
      <c r="C20" s="11"/>
      <c r="D20" s="11"/>
      <c r="E20" s="12"/>
    </row>
    <row r="21" spans="1:21" x14ac:dyDescent="0.25">
      <c r="A21" s="7" t="s">
        <v>25</v>
      </c>
      <c r="B21" s="8">
        <v>1</v>
      </c>
      <c r="C21" s="9"/>
      <c r="D21" s="9"/>
      <c r="E21" s="14"/>
    </row>
    <row r="22" spans="1:21" x14ac:dyDescent="0.25">
      <c r="A22" s="7" t="s">
        <v>26</v>
      </c>
      <c r="B22" s="8">
        <v>1</v>
      </c>
      <c r="C22" s="9"/>
      <c r="D22" s="9"/>
      <c r="E22" s="14"/>
    </row>
    <row r="23" spans="1:21" x14ac:dyDescent="0.25">
      <c r="A23" s="13"/>
      <c r="B23" s="9"/>
      <c r="C23" s="9"/>
      <c r="D23" s="9"/>
      <c r="E23" s="14"/>
    </row>
    <row r="24" spans="1:21" x14ac:dyDescent="0.25">
      <c r="A24" s="13"/>
      <c r="B24" s="22">
        <f>B15</f>
        <v>0.5480317008323401</v>
      </c>
      <c r="C24" s="22">
        <f t="shared" ref="C24:E24" si="1">C15</f>
        <v>0</v>
      </c>
      <c r="D24" s="22">
        <f t="shared" si="1"/>
        <v>0</v>
      </c>
      <c r="E24" s="22">
        <f t="shared" si="1"/>
        <v>0</v>
      </c>
    </row>
    <row r="25" spans="1:21" x14ac:dyDescent="0.25">
      <c r="A25" s="13"/>
      <c r="B25" s="22">
        <f>B16</f>
        <v>0</v>
      </c>
      <c r="C25" s="22">
        <f>IF(Invert_Y_axis&gt;0,-C16,C16)</f>
        <v>-1.7320508075688774</v>
      </c>
      <c r="D25" s="22">
        <f>IF(Invert_Y_axis&gt;0,-D16,D16)</f>
        <v>0</v>
      </c>
      <c r="E25" s="22">
        <f>IF(Invert_Y_axis&gt;0,-E16,E16)</f>
        <v>0</v>
      </c>
    </row>
    <row r="26" spans="1:21" x14ac:dyDescent="0.25">
      <c r="A26" s="13"/>
      <c r="B26" s="22">
        <f>IF(Reverse_Z_Buffer&gt;0,-B17,B17)</f>
        <v>0</v>
      </c>
      <c r="C26" s="22">
        <f>IF(Reverse_Z_Buffer&gt;0,-C17,C17)</f>
        <v>0</v>
      </c>
      <c r="D26" s="22">
        <f>IF(Reverse_Z_Buffer&gt;0,-D17,D17)</f>
        <v>1.0000200002000021</v>
      </c>
      <c r="E26" s="22">
        <f>IF(Reverse_Z_Buffer&gt;0,-E17,E17)</f>
        <v>0.20000200002000021</v>
      </c>
    </row>
    <row r="27" spans="1:21" x14ac:dyDescent="0.25">
      <c r="A27" s="15"/>
      <c r="B27" s="22">
        <f>B18</f>
        <v>0</v>
      </c>
      <c r="C27" s="22">
        <f t="shared" ref="C27:E27" si="2">C18</f>
        <v>0</v>
      </c>
      <c r="D27" s="22">
        <f t="shared" si="2"/>
        <v>-1</v>
      </c>
      <c r="E27" s="22">
        <f t="shared" si="2"/>
        <v>0</v>
      </c>
    </row>
    <row r="29" spans="1:21" x14ac:dyDescent="0.25">
      <c r="A29" s="6" t="s">
        <v>32</v>
      </c>
      <c r="B29" s="11"/>
      <c r="C29" s="11"/>
      <c r="D29" s="11"/>
      <c r="E29" s="12"/>
    </row>
    <row r="30" spans="1:21" x14ac:dyDescent="0.25">
      <c r="A30" s="13"/>
      <c r="B30" s="22">
        <f t="array" ref="B30:E33">MMULT(B24:E27,B9:E12)</f>
        <v>-0.5480317008323401</v>
      </c>
      <c r="C30" s="22">
        <v>-6.7142019151568459E-17</v>
      </c>
      <c r="D30" s="22">
        <v>0</v>
      </c>
      <c r="E30" s="22">
        <v>1.3428403830313692E-16</v>
      </c>
    </row>
    <row r="31" spans="1:21" x14ac:dyDescent="0.25">
      <c r="A31" s="13"/>
      <c r="B31" s="22">
        <v>0</v>
      </c>
      <c r="C31" s="22">
        <v>0</v>
      </c>
      <c r="D31" s="22">
        <v>-1.7320508075688774</v>
      </c>
      <c r="E31" s="22">
        <v>0.86602540378443871</v>
      </c>
    </row>
    <row r="32" spans="1:21" x14ac:dyDescent="0.25">
      <c r="A32" s="13"/>
      <c r="B32" s="22">
        <v>-1.2251729581227505E-16</v>
      </c>
      <c r="C32" s="22">
        <v>1.0000200002000021</v>
      </c>
      <c r="D32" s="22">
        <v>0</v>
      </c>
      <c r="E32" s="22">
        <v>-1.8000380003800041</v>
      </c>
    </row>
    <row r="33" spans="1:5" x14ac:dyDescent="0.25">
      <c r="A33" s="15"/>
      <c r="B33" s="22">
        <v>1.22514845490862E-16</v>
      </c>
      <c r="C33" s="22">
        <v>-1</v>
      </c>
      <c r="D33" s="22">
        <v>0</v>
      </c>
      <c r="E33" s="22">
        <v>2</v>
      </c>
    </row>
    <row r="36" spans="1:5" x14ac:dyDescent="0.25">
      <c r="A36" s="6" t="s">
        <v>34</v>
      </c>
      <c r="B36" s="20" t="s">
        <v>7</v>
      </c>
      <c r="C36" s="20" t="s">
        <v>8</v>
      </c>
      <c r="D36" s="20" t="s">
        <v>9</v>
      </c>
      <c r="E36" s="20" t="s">
        <v>10</v>
      </c>
    </row>
    <row r="37" spans="1:5" x14ac:dyDescent="0.25">
      <c r="A37" s="15"/>
      <c r="B37" s="8">
        <v>0</v>
      </c>
      <c r="C37" s="8">
        <v>0</v>
      </c>
      <c r="D37" s="8">
        <v>0</v>
      </c>
      <c r="E37" s="21">
        <v>1</v>
      </c>
    </row>
    <row r="39" spans="1:5" x14ac:dyDescent="0.25">
      <c r="B39" s="20" t="s">
        <v>7</v>
      </c>
      <c r="C39" s="20" t="s">
        <v>8</v>
      </c>
      <c r="D39" s="20" t="s">
        <v>9</v>
      </c>
      <c r="E39" s="20" t="s">
        <v>10</v>
      </c>
    </row>
    <row r="40" spans="1:5" x14ac:dyDescent="0.25">
      <c r="A40" s="6" t="s">
        <v>39</v>
      </c>
      <c r="B40" s="22">
        <f>SUMPRODUCT(B37:E37,B30:E30)</f>
        <v>1.3428403830313692E-16</v>
      </c>
      <c r="C40" s="22">
        <f>SUMPRODUCT(B37:E37,B31:E31)</f>
        <v>0.86602540378443871</v>
      </c>
      <c r="D40" s="22">
        <f>SUMPRODUCT(B37:E37,B32:E32)</f>
        <v>-1.8000380003800041</v>
      </c>
      <c r="E40" s="22">
        <f>SUMPRODUCT(B37:E37,B33:E33)</f>
        <v>2</v>
      </c>
    </row>
    <row r="42" spans="1:5" x14ac:dyDescent="0.25">
      <c r="A42" s="10" t="s">
        <v>36</v>
      </c>
      <c r="B42" s="20" t="s">
        <v>7</v>
      </c>
      <c r="C42" s="20" t="s">
        <v>8</v>
      </c>
      <c r="D42" s="20" t="s">
        <v>9</v>
      </c>
    </row>
    <row r="43" spans="1:5" x14ac:dyDescent="0.25">
      <c r="A43" s="12" t="s">
        <v>38</v>
      </c>
      <c r="B43" s="23" t="b">
        <f>IF(ABS(B40)&gt;$E$40,TRUE,FALSE)</f>
        <v>0</v>
      </c>
      <c r="C43" s="22" t="b">
        <f t="shared" ref="C43" si="3">IF(ABS(C40)&gt;$E$40,TRUE,FALSE)</f>
        <v>0</v>
      </c>
      <c r="D43" s="22" t="b">
        <f>IF(ABS(D40)&gt;$E$40,TRUE,FALSE)</f>
        <v>0</v>
      </c>
    </row>
    <row r="45" spans="1:5" x14ac:dyDescent="0.25">
      <c r="A45" s="6" t="s">
        <v>37</v>
      </c>
      <c r="B45" s="20" t="s">
        <v>7</v>
      </c>
      <c r="C45" s="20" t="s">
        <v>8</v>
      </c>
      <c r="D45" s="20" t="s">
        <v>9</v>
      </c>
    </row>
    <row r="46" spans="1:5" x14ac:dyDescent="0.25">
      <c r="A46" t="s">
        <v>33</v>
      </c>
      <c r="B46" s="22">
        <f>B40/$E$40</f>
        <v>6.7142019151568459E-17</v>
      </c>
      <c r="C46" s="22">
        <f>C40/$E$40</f>
        <v>0.43301270189221935</v>
      </c>
      <c r="D46" s="22">
        <f>D40/$E$40</f>
        <v>-0.90001900019000203</v>
      </c>
    </row>
    <row r="48" spans="1:5" x14ac:dyDescent="0.25">
      <c r="A48" s="6" t="s">
        <v>35</v>
      </c>
      <c r="B48" s="20" t="s">
        <v>7</v>
      </c>
      <c r="C48" s="20" t="s">
        <v>8</v>
      </c>
    </row>
    <row r="49" spans="2:3" x14ac:dyDescent="0.25">
      <c r="B49" s="18">
        <f>IF(OR(B43,C43,D43),"Clipped",INT((B46*0.5+0.5)*Screen_Width))</f>
        <v>960</v>
      </c>
      <c r="C49" s="18">
        <f>IF(OR(C43,D43,E43),"Clipped",INT((C46*0.5+0.5)*Screen_Height))</f>
        <v>773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24</vt:i4>
      </vt:variant>
    </vt:vector>
  </HeadingPairs>
  <TitlesOfParts>
    <vt:vector size="27" baseType="lpstr">
      <vt:lpstr>Instructions</vt:lpstr>
      <vt:lpstr>DirectX</vt:lpstr>
      <vt:lpstr>OpenGL</vt:lpstr>
      <vt:lpstr>DirectX!Aspect_Ratio</vt:lpstr>
      <vt:lpstr>OpenGL!Aspect_Ratio</vt:lpstr>
      <vt:lpstr>DirectX!fovX</vt:lpstr>
      <vt:lpstr>OpenGL!fovX</vt:lpstr>
      <vt:lpstr>DirectX!fovY</vt:lpstr>
      <vt:lpstr>OpenGL!fovY</vt:lpstr>
      <vt:lpstr>DirectX!Invert_Y_axis</vt:lpstr>
      <vt:lpstr>OpenGL!Invert_Y_axis</vt:lpstr>
      <vt:lpstr>DirectX!Player_Pitch</vt:lpstr>
      <vt:lpstr>OpenGL!Player_Pitch</vt:lpstr>
      <vt:lpstr>DirectX!Player_Roll</vt:lpstr>
      <vt:lpstr>OpenGL!Player_Roll</vt:lpstr>
      <vt:lpstr>DirectX!Player_Yaw</vt:lpstr>
      <vt:lpstr>OpenGL!Player_Yaw</vt:lpstr>
      <vt:lpstr>DirectX!Reverse_Z_Buffer</vt:lpstr>
      <vt:lpstr>OpenGL!Reverse_Z_Buffer</vt:lpstr>
      <vt:lpstr>DirectX!Screen_Height</vt:lpstr>
      <vt:lpstr>OpenGL!Screen_Height</vt:lpstr>
      <vt:lpstr>DirectX!Screen_Width</vt:lpstr>
      <vt:lpstr>OpenGL!Screen_Width</vt:lpstr>
      <vt:lpstr>DirectX!Z_Far</vt:lpstr>
      <vt:lpstr>OpenGL!Z_Far</vt:lpstr>
      <vt:lpstr>DirectX!Z_Near</vt:lpstr>
      <vt:lpstr>OpenGL!Z_Near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2019-03-26T11:30:33Z</dcterms:created>
  <dcterms:modified xsi:type="dcterms:W3CDTF">2019-03-26T11:43:06Z</dcterms:modified>
</cp:coreProperties>
</file>